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v\work19\fito_web_page\"/>
    </mc:Choice>
  </mc:AlternateContent>
  <bookViews>
    <workbookView xWindow="270" yWindow="585" windowWidth="21525" windowHeight="645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K18" i="1" l="1"/>
  <c r="K17" i="1"/>
  <c r="K16" i="1"/>
  <c r="K15" i="1"/>
  <c r="K14" i="1"/>
  <c r="K13" i="1"/>
  <c r="J15" i="1"/>
  <c r="F15" i="1"/>
  <c r="G15" i="1" s="1"/>
  <c r="H15" i="1" s="1"/>
  <c r="I15" i="1" s="1"/>
  <c r="E15" i="1"/>
  <c r="J14" i="1"/>
  <c r="F14" i="1"/>
  <c r="G14" i="1" s="1"/>
  <c r="H14" i="1" s="1"/>
  <c r="I14" i="1" s="1"/>
  <c r="E14" i="1"/>
  <c r="J18" i="1"/>
  <c r="J17" i="1"/>
  <c r="J16" i="1"/>
  <c r="J13" i="1"/>
  <c r="O15" i="1" l="1"/>
  <c r="M15" i="1"/>
  <c r="L15" i="1"/>
  <c r="V15" i="1"/>
  <c r="N15" i="1"/>
  <c r="U15" i="1"/>
  <c r="V14" i="1"/>
  <c r="O14" i="1"/>
  <c r="N14" i="1"/>
  <c r="M14" i="1"/>
  <c r="L14" i="1"/>
  <c r="U14" i="1"/>
  <c r="F18" i="1"/>
  <c r="G18" i="1" s="1"/>
  <c r="H18" i="1" s="1"/>
  <c r="I18" i="1" s="1"/>
  <c r="E18" i="1"/>
  <c r="F17" i="1"/>
  <c r="G17" i="1" s="1"/>
  <c r="H17" i="1" s="1"/>
  <c r="I17" i="1" s="1"/>
  <c r="E17" i="1"/>
  <c r="F16" i="1"/>
  <c r="G16" i="1" s="1"/>
  <c r="H16" i="1" s="1"/>
  <c r="I16" i="1" s="1"/>
  <c r="E16" i="1"/>
  <c r="F13" i="1"/>
  <c r="G13" i="1" s="1"/>
  <c r="H13" i="1" s="1"/>
  <c r="I13" i="1" s="1"/>
  <c r="E13" i="1"/>
  <c r="P15" i="1" l="1"/>
  <c r="Q15" i="1" s="1"/>
  <c r="R15" i="1" s="1"/>
  <c r="P14" i="1"/>
  <c r="Q14" i="1" s="1"/>
  <c r="R14" i="1" s="1"/>
  <c r="V17" i="1"/>
  <c r="O17" i="1"/>
  <c r="N17" i="1"/>
  <c r="M17" i="1"/>
  <c r="L17" i="1"/>
  <c r="U17" i="1"/>
  <c r="M18" i="1"/>
  <c r="L18" i="1"/>
  <c r="O18" i="1"/>
  <c r="V18" i="1"/>
  <c r="U18" i="1"/>
  <c r="N18" i="1"/>
  <c r="V16" i="1"/>
  <c r="U16" i="1"/>
  <c r="O16" i="1"/>
  <c r="N16" i="1"/>
  <c r="M16" i="1"/>
  <c r="L16" i="1"/>
  <c r="V13" i="1"/>
  <c r="U13" i="1"/>
  <c r="O13" i="1"/>
  <c r="N13" i="1"/>
  <c r="M13" i="1"/>
  <c r="L13" i="1"/>
  <c r="AJ14" i="1" l="1"/>
  <c r="AH14" i="1"/>
  <c r="AF14" i="1"/>
  <c r="AE14" i="1"/>
  <c r="AN14" i="1"/>
  <c r="AK14" i="1"/>
  <c r="AG14" i="1"/>
  <c r="AD14" i="1"/>
  <c r="AO14" i="1"/>
  <c r="AC14" i="1"/>
  <c r="AB14" i="1"/>
  <c r="AM14" i="1"/>
  <c r="AL14" i="1"/>
  <c r="AI14" i="1"/>
  <c r="S15" i="1"/>
  <c r="AJ15" i="1"/>
  <c r="AI15" i="1"/>
  <c r="AH15" i="1"/>
  <c r="AF15" i="1"/>
  <c r="AE15" i="1"/>
  <c r="AN15" i="1"/>
  <c r="AB15" i="1"/>
  <c r="AK15" i="1"/>
  <c r="AD15" i="1"/>
  <c r="AO15" i="1"/>
  <c r="AC15" i="1"/>
  <c r="AM15" i="1"/>
  <c r="AL15" i="1"/>
  <c r="AG15" i="1"/>
  <c r="S14" i="1"/>
  <c r="P16" i="1"/>
  <c r="Q16" i="1" s="1"/>
  <c r="R16" i="1" s="1"/>
  <c r="P17" i="1"/>
  <c r="Q17" i="1" s="1"/>
  <c r="R17" i="1" s="1"/>
  <c r="AA13" i="1"/>
  <c r="Z13" i="1"/>
  <c r="Y13" i="1"/>
  <c r="X13" i="1"/>
  <c r="W13" i="1"/>
  <c r="P18" i="1"/>
  <c r="Q18" i="1" s="1"/>
  <c r="R18" i="1" s="1"/>
  <c r="P13" i="1"/>
  <c r="Q13" i="1" s="1"/>
  <c r="R13" i="1" s="1"/>
  <c r="AF13" i="1" s="1"/>
  <c r="T15" i="1" l="1"/>
  <c r="AS15" i="1" s="1"/>
  <c r="AR15" i="1"/>
  <c r="T14" i="1"/>
  <c r="AT14" i="1" s="1"/>
  <c r="AH13" i="1"/>
  <c r="AG13" i="1"/>
  <c r="AM13" i="1"/>
  <c r="AI13" i="1"/>
  <c r="AN13" i="1"/>
  <c r="AC13" i="1"/>
  <c r="S18" i="1"/>
  <c r="T18" i="1" s="1"/>
  <c r="S17" i="1"/>
  <c r="T17" i="1" s="1"/>
  <c r="S16" i="1"/>
  <c r="T16" i="1" s="1"/>
  <c r="AJ13" i="1"/>
  <c r="AK13" i="1"/>
  <c r="AL13" i="1"/>
  <c r="AB13" i="1"/>
  <c r="AE13" i="1"/>
  <c r="AO13" i="1"/>
  <c r="AD13" i="1"/>
  <c r="S13" i="1"/>
  <c r="Y15" i="1" l="1"/>
  <c r="AP14" i="1"/>
  <c r="AT15" i="1"/>
  <c r="AQ15" i="1"/>
  <c r="AQ14" i="1"/>
  <c r="Z15" i="1"/>
  <c r="AA15" i="1"/>
  <c r="AR14" i="1"/>
  <c r="AS14" i="1"/>
  <c r="W15" i="1"/>
  <c r="X15" i="1"/>
  <c r="AP15" i="1"/>
  <c r="T13" i="1"/>
  <c r="AA14" i="1" s="1"/>
  <c r="AS13" i="1" l="1"/>
  <c r="AR13" i="1"/>
  <c r="AQ13" i="1"/>
  <c r="AP13" i="1"/>
  <c r="AT13" i="1"/>
  <c r="Z14" i="1"/>
  <c r="W14" i="1"/>
  <c r="X14" i="1"/>
  <c r="Y14" i="1"/>
</calcChain>
</file>

<file path=xl/comments1.xml><?xml version="1.0" encoding="utf-8"?>
<comments xmlns="http://schemas.openxmlformats.org/spreadsheetml/2006/main">
  <authors>
    <author>FV_Remote</author>
  </authors>
  <commentList>
    <comment ref="L10" authorId="0" shapeId="0">
      <text>
        <r>
          <rPr>
            <b/>
            <sz val="9"/>
            <color indexed="81"/>
            <rFont val="Tahoma"/>
            <family val="2"/>
          </rPr>
          <t>FV_Remote:</t>
        </r>
        <r>
          <rPr>
            <sz val="9"/>
            <color indexed="81"/>
            <rFont val="Tahoma"/>
            <family val="2"/>
          </rPr>
          <t xml:space="preserve">
α_1=N+2 √N  √(24-N)</t>
        </r>
      </text>
    </comment>
  </commentList>
</comments>
</file>

<file path=xl/sharedStrings.xml><?xml version="1.0" encoding="utf-8"?>
<sst xmlns="http://schemas.openxmlformats.org/spreadsheetml/2006/main" count="37" uniqueCount="29">
  <si>
    <t>DOY</t>
  </si>
  <si>
    <r>
      <t>T</t>
    </r>
    <r>
      <rPr>
        <vertAlign val="subscript"/>
        <sz val="11"/>
        <color rgb="FF000000"/>
        <rFont val="Calibri"/>
        <family val="2"/>
      </rPr>
      <t>x</t>
    </r>
  </si>
  <si>
    <r>
      <t>T</t>
    </r>
    <r>
      <rPr>
        <vertAlign val="subscript"/>
        <sz val="11"/>
        <color rgb="FF000000"/>
        <rFont val="Calibri"/>
        <family val="2"/>
      </rPr>
      <t>n</t>
    </r>
  </si>
  <si>
    <t>Tavg</t>
  </si>
  <si>
    <t>Dec</t>
  </si>
  <si>
    <r>
      <t>h</t>
    </r>
    <r>
      <rPr>
        <vertAlign val="subscript"/>
        <sz val="11"/>
        <color rgb="FF000000"/>
        <rFont val="Calibri"/>
        <family val="2"/>
      </rPr>
      <t>s</t>
    </r>
  </si>
  <si>
    <t>N</t>
  </si>
  <si>
    <t>-</t>
  </si>
  <si>
    <t>ºC</t>
  </si>
  <si>
    <t>deg</t>
  </si>
  <si>
    <t>rad</t>
  </si>
  <si>
    <t>hour</t>
  </si>
  <si>
    <t>Year</t>
  </si>
  <si>
    <t>alfa1</t>
  </si>
  <si>
    <t>alfa2</t>
  </si>
  <si>
    <t>alfa3</t>
  </si>
  <si>
    <t>Latitude (º)</t>
  </si>
  <si>
    <t>Tau (hour)</t>
  </si>
  <si>
    <t>Taux</t>
  </si>
  <si>
    <t>delta</t>
  </si>
  <si>
    <t>deltax</t>
  </si>
  <si>
    <t>ct</t>
  </si>
  <si>
    <t>bt</t>
  </si>
  <si>
    <t>at</t>
  </si>
  <si>
    <t>Tss</t>
  </si>
  <si>
    <t>kn</t>
  </si>
  <si>
    <t>tsr</t>
  </si>
  <si>
    <t>time sunrise</t>
  </si>
  <si>
    <t>tss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</si>
</sst>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rgb="FF000000"/>
      <name val="Calibri"/>
    </font>
    <font>
      <sz val="11"/>
      <color rgb="FFFF0000"/>
      <name val="Calibri"/>
      <family val="2"/>
    </font>
    <font>
      <vertAlign val="subscript"/>
      <sz val="11"/>
      <color rgb="FF000000"/>
      <name val="Calibri"/>
      <family val="2"/>
    </font>
    <font>
      <sz val="11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B8CCE4"/>
      </patternFill>
    </fill>
    <fill>
      <patternFill patternType="solid">
        <fgColor theme="3" tint="0.59999389629810485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0" fillId="2" borderId="1" xfId="0" applyFont="1" applyFill="1" applyBorder="1"/>
    <xf numFmtId="0" fontId="0" fillId="0" borderId="1" xfId="0" applyFont="1" applyBorder="1"/>
    <xf numFmtId="0" fontId="0" fillId="3" borderId="2" xfId="0" applyFont="1" applyFill="1" applyBorder="1"/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3" borderId="2" xfId="0" applyFont="1" applyFill="1" applyBorder="1"/>
    <xf numFmtId="0" fontId="3" fillId="0" borderId="0" xfId="0" applyFont="1" applyAlignment="1"/>
    <xf numFmtId="0" fontId="1" fillId="2" borderId="3" xfId="0" applyFont="1" applyFill="1" applyBorder="1"/>
    <xf numFmtId="0" fontId="0" fillId="0" borderId="2" xfId="0" applyFont="1" applyBorder="1"/>
    <xf numFmtId="1" fontId="0" fillId="0" borderId="2" xfId="0" applyNumberFormat="1" applyFont="1" applyBorder="1"/>
    <xf numFmtId="164" fontId="0" fillId="3" borderId="2" xfId="0" applyNumberFormat="1" applyFont="1" applyFill="1" applyBorder="1"/>
    <xf numFmtId="0" fontId="1" fillId="4" borderId="2" xfId="0" applyFont="1" applyFill="1" applyBorder="1"/>
    <xf numFmtId="0" fontId="1" fillId="5" borderId="2" xfId="0" applyFont="1" applyFill="1" applyBorder="1"/>
    <xf numFmtId="0" fontId="0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133350</xdr:rowOff>
    </xdr:from>
    <xdr:ext cx="3810000" cy="39052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0" y="704850"/>
          <a:ext cx="3810000" cy="3905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276225</xdr:colOff>
      <xdr:row>0</xdr:row>
      <xdr:rowOff>142875</xdr:rowOff>
    </xdr:from>
    <xdr:ext cx="1304926" cy="304800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76225" y="142875"/>
          <a:ext cx="1304926" cy="3048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409574</xdr:colOff>
      <xdr:row>6</xdr:row>
      <xdr:rowOff>66674</xdr:rowOff>
    </xdr:from>
    <xdr:ext cx="771525" cy="371475"/>
    <xdr:pic>
      <xdr:nvPicPr>
        <xdr:cNvPr id="6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57249" y="1209674"/>
          <a:ext cx="771525" cy="3714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40</xdr:row>
      <xdr:rowOff>161925</xdr:rowOff>
    </xdr:from>
    <xdr:ext cx="5324475" cy="771525"/>
    <xdr:pic>
      <xdr:nvPicPr>
        <xdr:cNvPr id="11" name="image11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142875</xdr:colOff>
      <xdr:row>45</xdr:row>
      <xdr:rowOff>28575</xdr:rowOff>
    </xdr:from>
    <xdr:ext cx="2724150" cy="457200"/>
    <xdr:pic>
      <xdr:nvPicPr>
        <xdr:cNvPr id="12" name="image10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32</xdr:row>
      <xdr:rowOff>171450</xdr:rowOff>
    </xdr:from>
    <xdr:ext cx="2962275" cy="647700"/>
    <xdr:pic>
      <xdr:nvPicPr>
        <xdr:cNvPr id="14" name="image12.png"/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32</xdr:row>
      <xdr:rowOff>95250</xdr:rowOff>
    </xdr:from>
    <xdr:ext cx="5314950" cy="800100"/>
    <xdr:pic>
      <xdr:nvPicPr>
        <xdr:cNvPr id="17" name="image16.png"/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9</xdr:col>
      <xdr:colOff>104776</xdr:colOff>
      <xdr:row>2</xdr:row>
      <xdr:rowOff>9524</xdr:rowOff>
    </xdr:from>
    <xdr:to>
      <xdr:col>10</xdr:col>
      <xdr:colOff>427327</xdr:colOff>
      <xdr:row>3</xdr:row>
      <xdr:rowOff>76199</xdr:rowOff>
    </xdr:to>
    <xdr:pic>
      <xdr:nvPicPr>
        <xdr:cNvPr id="1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1" y="390524"/>
          <a:ext cx="770226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323850</xdr:colOff>
      <xdr:row>2</xdr:row>
      <xdr:rowOff>0</xdr:rowOff>
    </xdr:from>
    <xdr:to>
      <xdr:col>13</xdr:col>
      <xdr:colOff>86158</xdr:colOff>
      <xdr:row>3</xdr:row>
      <xdr:rowOff>104775</xdr:rowOff>
    </xdr:to>
    <xdr:pic>
      <xdr:nvPicPr>
        <xdr:cNvPr id="1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381000"/>
          <a:ext cx="657658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243567</xdr:colOff>
      <xdr:row>0</xdr:row>
      <xdr:rowOff>47625</xdr:rowOff>
    </xdr:from>
    <xdr:to>
      <xdr:col>16</xdr:col>
      <xdr:colOff>209550</xdr:colOff>
      <xdr:row>1</xdr:row>
      <xdr:rowOff>104775</xdr:rowOff>
    </xdr:to>
    <xdr:pic>
      <xdr:nvPicPr>
        <xdr:cNvPr id="20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3342" y="47625"/>
          <a:ext cx="1309008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438150</xdr:colOff>
      <xdr:row>0</xdr:row>
      <xdr:rowOff>57150</xdr:rowOff>
    </xdr:from>
    <xdr:to>
      <xdr:col>20</xdr:col>
      <xdr:colOff>104775</xdr:colOff>
      <xdr:row>1</xdr:row>
      <xdr:rowOff>119718</xdr:rowOff>
    </xdr:to>
    <xdr:pic>
      <xdr:nvPicPr>
        <xdr:cNvPr id="21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57150"/>
          <a:ext cx="1457325" cy="2530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9525</xdr:colOff>
      <xdr:row>0</xdr:row>
      <xdr:rowOff>66675</xdr:rowOff>
    </xdr:from>
    <xdr:to>
      <xdr:col>24</xdr:col>
      <xdr:colOff>419100</xdr:colOff>
      <xdr:row>1</xdr:row>
      <xdr:rowOff>104775</xdr:rowOff>
    </xdr:to>
    <xdr:pic>
      <xdr:nvPicPr>
        <xdr:cNvPr id="22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0700" y="66675"/>
          <a:ext cx="1752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66675</xdr:colOff>
      <xdr:row>1</xdr:row>
      <xdr:rowOff>161925</xdr:rowOff>
    </xdr:from>
    <xdr:to>
      <xdr:col>15</xdr:col>
      <xdr:colOff>228600</xdr:colOff>
      <xdr:row>3</xdr:row>
      <xdr:rowOff>152400</xdr:rowOff>
    </xdr:to>
    <xdr:pic>
      <xdr:nvPicPr>
        <xdr:cNvPr id="23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4125" y="352425"/>
          <a:ext cx="60960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190500</xdr:colOff>
      <xdr:row>1</xdr:row>
      <xdr:rowOff>142875</xdr:rowOff>
    </xdr:from>
    <xdr:to>
      <xdr:col>20</xdr:col>
      <xdr:colOff>76200</xdr:colOff>
      <xdr:row>4</xdr:row>
      <xdr:rowOff>85725</xdr:rowOff>
    </xdr:to>
    <xdr:pic>
      <xdr:nvPicPr>
        <xdr:cNvPr id="24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0" y="333375"/>
          <a:ext cx="16764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419100</xdr:colOff>
      <xdr:row>2</xdr:row>
      <xdr:rowOff>19050</xdr:rowOff>
    </xdr:from>
    <xdr:to>
      <xdr:col>22</xdr:col>
      <xdr:colOff>381000</xdr:colOff>
      <xdr:row>4</xdr:row>
      <xdr:rowOff>95250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2600" y="400050"/>
          <a:ext cx="8572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23</xdr:col>
      <xdr:colOff>304800</xdr:colOff>
      <xdr:row>2</xdr:row>
      <xdr:rowOff>104775</xdr:rowOff>
    </xdr:from>
    <xdr:to>
      <xdr:col>26</xdr:col>
      <xdr:colOff>28575</xdr:colOff>
      <xdr:row>3</xdr:row>
      <xdr:rowOff>123825</xdr:rowOff>
    </xdr:to>
    <xdr:pic>
      <xdr:nvPicPr>
        <xdr:cNvPr id="26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1325" y="485775"/>
          <a:ext cx="106680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266700</xdr:colOff>
      <xdr:row>5</xdr:row>
      <xdr:rowOff>57150</xdr:rowOff>
    </xdr:from>
    <xdr:to>
      <xdr:col>13</xdr:col>
      <xdr:colOff>180975</xdr:colOff>
      <xdr:row>6</xdr:row>
      <xdr:rowOff>104775</xdr:rowOff>
    </xdr:to>
    <xdr:pic>
      <xdr:nvPicPr>
        <xdr:cNvPr id="27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1009650"/>
          <a:ext cx="17049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152398</xdr:colOff>
      <xdr:row>5</xdr:row>
      <xdr:rowOff>66675</xdr:rowOff>
    </xdr:from>
    <xdr:to>
      <xdr:col>18</xdr:col>
      <xdr:colOff>133349</xdr:colOff>
      <xdr:row>8</xdr:row>
      <xdr:rowOff>9525</xdr:rowOff>
    </xdr:to>
    <xdr:pic>
      <xdr:nvPicPr>
        <xdr:cNvPr id="28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48" y="1019175"/>
          <a:ext cx="1771651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104775</xdr:colOff>
      <xdr:row>4</xdr:row>
      <xdr:rowOff>152400</xdr:rowOff>
    </xdr:from>
    <xdr:to>
      <xdr:col>26</xdr:col>
      <xdr:colOff>200025</xdr:colOff>
      <xdr:row>6</xdr:row>
      <xdr:rowOff>0</xdr:rowOff>
    </xdr:to>
    <xdr:pic>
      <xdr:nvPicPr>
        <xdr:cNvPr id="29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3625" y="914400"/>
          <a:ext cx="188595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23</xdr:col>
      <xdr:colOff>0</xdr:colOff>
      <xdr:row>7</xdr:row>
      <xdr:rowOff>0</xdr:rowOff>
    </xdr:from>
    <xdr:to>
      <xdr:col>27</xdr:col>
      <xdr:colOff>200025</xdr:colOff>
      <xdr:row>8</xdr:row>
      <xdr:rowOff>19050</xdr:rowOff>
    </xdr:to>
    <xdr:pic>
      <xdr:nvPicPr>
        <xdr:cNvPr id="30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96525" y="1333500"/>
          <a:ext cx="199072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7</xdr:row>
      <xdr:rowOff>133350</xdr:rowOff>
    </xdr:from>
    <xdr:ext cx="7448550" cy="1533525"/>
    <xdr:sp macro="" textlink="">
      <xdr:nvSpPr>
        <xdr:cNvPr id="3" name="Shape 3"/>
        <xdr:cNvSpPr txBox="1"/>
      </xdr:nvSpPr>
      <xdr:spPr>
        <a:xfrm>
          <a:off x="1626488" y="3018000"/>
          <a:ext cx="7439025" cy="1524001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This worksheet is available for free. Send your request to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2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fvillalobos@uco.es</a:t>
          </a:r>
          <a:endParaRPr sz="2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1006"/>
  <sheetViews>
    <sheetView tabSelected="1" workbookViewId="0">
      <selection activeCell="X8" sqref="X8"/>
    </sheetView>
  </sheetViews>
  <sheetFormatPr defaultColWidth="6.7109375" defaultRowHeight="15" customHeight="1" x14ac:dyDescent="0.25"/>
  <sheetData>
    <row r="1" spans="1:46" x14ac:dyDescent="0.25">
      <c r="J1" s="8" t="s">
        <v>16</v>
      </c>
      <c r="K1" s="8">
        <v>37.85</v>
      </c>
      <c r="L1" s="8" t="s">
        <v>17</v>
      </c>
      <c r="M1" s="13">
        <v>2.5</v>
      </c>
    </row>
    <row r="2" spans="1:46" x14ac:dyDescent="0.25">
      <c r="J2" s="12"/>
      <c r="K2" s="12"/>
      <c r="L2" s="12"/>
      <c r="M2" s="6"/>
    </row>
    <row r="3" spans="1:46" x14ac:dyDescent="0.25">
      <c r="J3" s="9"/>
      <c r="K3" s="10"/>
      <c r="L3" s="9"/>
      <c r="M3" s="3"/>
    </row>
    <row r="4" spans="1:46" x14ac:dyDescent="0.25">
      <c r="J4" s="9"/>
      <c r="K4" s="11"/>
      <c r="L4" s="3"/>
      <c r="M4" s="3"/>
    </row>
    <row r="6" spans="1:46" x14ac:dyDescent="0.25">
      <c r="L6" s="7"/>
      <c r="M6" s="7"/>
      <c r="N6" s="7"/>
    </row>
    <row r="7" spans="1:46" x14ac:dyDescent="0.25">
      <c r="L7" s="7"/>
      <c r="M7" s="7"/>
      <c r="N7" s="7"/>
      <c r="O7" s="7"/>
    </row>
    <row r="8" spans="1:46" x14ac:dyDescent="0.25">
      <c r="L8" s="7"/>
      <c r="M8" s="7"/>
      <c r="N8" s="7"/>
      <c r="O8" s="7"/>
    </row>
    <row r="9" spans="1:46" x14ac:dyDescent="0.25">
      <c r="L9" s="7"/>
      <c r="M9" s="7"/>
      <c r="N9" s="7"/>
      <c r="O9" s="7"/>
      <c r="U9" s="7" t="s">
        <v>27</v>
      </c>
      <c r="V9" s="7"/>
    </row>
    <row r="10" spans="1:46" ht="18" x14ac:dyDescent="0.35">
      <c r="A10" t="s">
        <v>12</v>
      </c>
      <c r="B10" s="1" t="s">
        <v>0</v>
      </c>
      <c r="C10" s="1" t="s">
        <v>1</v>
      </c>
      <c r="D10" s="1" t="s">
        <v>2</v>
      </c>
      <c r="E10" s="1" t="s">
        <v>3</v>
      </c>
      <c r="F10" s="2" t="s">
        <v>4</v>
      </c>
      <c r="G10" s="2" t="s">
        <v>4</v>
      </c>
      <c r="H10" t="s">
        <v>5</v>
      </c>
      <c r="I10" s="2" t="s">
        <v>6</v>
      </c>
      <c r="J10" s="7" t="s">
        <v>19</v>
      </c>
      <c r="K10" s="7" t="s">
        <v>20</v>
      </c>
      <c r="L10" s="7" t="s">
        <v>13</v>
      </c>
      <c r="M10" s="7" t="s">
        <v>14</v>
      </c>
      <c r="N10" s="7" t="s">
        <v>15</v>
      </c>
      <c r="O10" s="7" t="s">
        <v>18</v>
      </c>
      <c r="P10" s="7" t="s">
        <v>21</v>
      </c>
      <c r="Q10" s="7" t="s">
        <v>22</v>
      </c>
      <c r="R10" s="7" t="s">
        <v>23</v>
      </c>
      <c r="S10" s="7" t="s">
        <v>24</v>
      </c>
      <c r="T10" s="7" t="s">
        <v>25</v>
      </c>
      <c r="U10" s="7" t="s">
        <v>26</v>
      </c>
      <c r="V10" s="7" t="s">
        <v>28</v>
      </c>
      <c r="W10">
        <v>0.5</v>
      </c>
      <c r="X10">
        <v>1.5</v>
      </c>
      <c r="Y10">
        <v>2.5</v>
      </c>
      <c r="Z10">
        <v>3.5</v>
      </c>
      <c r="AA10">
        <v>4.5</v>
      </c>
      <c r="AB10">
        <v>5.5</v>
      </c>
      <c r="AC10">
        <v>6.5</v>
      </c>
      <c r="AD10">
        <v>7.5</v>
      </c>
      <c r="AE10">
        <v>8.5</v>
      </c>
      <c r="AF10">
        <v>9.5</v>
      </c>
      <c r="AG10">
        <v>10.5</v>
      </c>
      <c r="AH10">
        <v>11.5</v>
      </c>
      <c r="AI10">
        <v>12.5</v>
      </c>
      <c r="AJ10">
        <v>13.5</v>
      </c>
      <c r="AK10">
        <v>14.5</v>
      </c>
      <c r="AL10">
        <v>15.5</v>
      </c>
      <c r="AM10">
        <v>16.5</v>
      </c>
      <c r="AN10">
        <v>17.5</v>
      </c>
      <c r="AO10">
        <v>18.5</v>
      </c>
      <c r="AP10">
        <v>19.5</v>
      </c>
      <c r="AQ10">
        <v>20.5</v>
      </c>
      <c r="AR10">
        <v>21.5</v>
      </c>
      <c r="AS10">
        <v>22.5</v>
      </c>
      <c r="AT10">
        <v>23.5</v>
      </c>
    </row>
    <row r="11" spans="1:46" x14ac:dyDescent="0.25">
      <c r="B11" s="2" t="s">
        <v>7</v>
      </c>
      <c r="C11" s="2" t="s">
        <v>8</v>
      </c>
      <c r="D11" s="2" t="s">
        <v>8</v>
      </c>
      <c r="E11" s="2" t="s">
        <v>8</v>
      </c>
      <c r="F11" s="2" t="s">
        <v>9</v>
      </c>
      <c r="G11" s="2" t="s">
        <v>10</v>
      </c>
      <c r="H11" s="2" t="s">
        <v>10</v>
      </c>
      <c r="I11" s="2" t="s">
        <v>11</v>
      </c>
      <c r="J11" s="2" t="s">
        <v>8</v>
      </c>
      <c r="K11" s="2" t="s">
        <v>8</v>
      </c>
      <c r="O11" s="7" t="s">
        <v>11</v>
      </c>
      <c r="S11" s="7" t="s">
        <v>8</v>
      </c>
    </row>
    <row r="12" spans="1:46" x14ac:dyDescent="0.25">
      <c r="B12" s="2"/>
      <c r="C12" s="2"/>
      <c r="D12" s="2"/>
      <c r="E12" s="2"/>
      <c r="F12" s="2"/>
      <c r="G12" s="2"/>
      <c r="H12" s="2"/>
      <c r="I12" s="2"/>
      <c r="J12" s="9"/>
      <c r="K12" s="9"/>
      <c r="O12" s="7"/>
      <c r="S12" s="7"/>
    </row>
    <row r="13" spans="1:46" x14ac:dyDescent="0.25">
      <c r="B13" s="1">
        <v>180</v>
      </c>
      <c r="C13" s="1">
        <v>35</v>
      </c>
      <c r="D13" s="1">
        <v>15</v>
      </c>
      <c r="E13" s="14">
        <f t="shared" ref="E13:E18" si="0">(C13+D13)/2</f>
        <v>25</v>
      </c>
      <c r="F13" s="4">
        <f>23.45*COS(2*3.1416/365*(B13-172))</f>
        <v>23.227984965810336</v>
      </c>
      <c r="G13" s="5">
        <f t="shared" ref="G13:G18" si="1">F13*3.1416/180</f>
        <v>0.40540576426994301</v>
      </c>
      <c r="H13" s="5">
        <f>ACOS(-TAN($K$1*3.1416/180)*TAN(G13))</f>
        <v>1.9108179065913065</v>
      </c>
      <c r="I13" s="4">
        <f>H13*2*12/3.1416</f>
        <v>14.597539393363686</v>
      </c>
      <c r="J13">
        <f>C13-D13</f>
        <v>20</v>
      </c>
      <c r="K13">
        <f>C13-D14</f>
        <v>20</v>
      </c>
      <c r="L13">
        <f>I13+2*SQRT(I13)*SQRT(24-I13)</f>
        <v>38.028526491642225</v>
      </c>
      <c r="M13">
        <f>I13^2+4*I13*SQRT(I13)*SQRT(24-I13)</f>
        <v>897.15767072583901</v>
      </c>
      <c r="N13">
        <f>I13^3+6*I13^2*SQRT(I13)*SQRT(24-I13)</f>
        <v>18089.160282496196</v>
      </c>
      <c r="O13">
        <f>I13/2+$M$1</f>
        <v>9.7987696966818429</v>
      </c>
      <c r="P13">
        <f>(J13/O13^2*(M13-2*L13)-K13)/(3*L13*O13^2+2*O13*(M13-4*L13)-N13)</f>
        <v>2.0229919491872264E-2</v>
      </c>
      <c r="Q13">
        <f>(J13-2*O13^3*P13)/O13^2</f>
        <v>-0.18815778335865249</v>
      </c>
      <c r="R13">
        <f>2*O13*Q13+3*O13^2*P13</f>
        <v>2.1397514548217589</v>
      </c>
      <c r="S13">
        <f>D13+R13*I13-Q13*I13^2-P13*I13^3</f>
        <v>23.40286717355454</v>
      </c>
      <c r="T13">
        <f>(S13-D14)/SQRT(24-I13)</f>
        <v>2.7403544324748919</v>
      </c>
      <c r="U13">
        <f>12-I13/2</f>
        <v>4.7012303033181571</v>
      </c>
      <c r="V13">
        <f>12+I13/2</f>
        <v>19.298769696681845</v>
      </c>
      <c r="W13">
        <f>IF(W$10&lt;$U13,$S12-$T12*SQRT(ABS(W$10-$V13)),IF(W$10&gt;$V13,$S13-$T13*SQRT(ABS($W10-$V13)),$D13+$R13*($W10-$U13)-$Q13*($W10-$U13)^2-$P13*($W10-$U13)^3))</f>
        <v>0</v>
      </c>
      <c r="X13">
        <f t="shared" ref="X13:AS13" si="2">IF(X$10&lt;$U13,$S12-$T12*SQRT(ABS(X$10-$V13)),IF(X$10&gt;$V13,$S13-$T13*SQRT(ABS($W10-$V13)),$D13+$R13*($W10-$U13)-$Q13*($W10-$U13)^2-$P13*($W10-$U13)^3))</f>
        <v>0</v>
      </c>
      <c r="Y13">
        <f t="shared" si="2"/>
        <v>0</v>
      </c>
      <c r="Z13">
        <f t="shared" si="2"/>
        <v>0</v>
      </c>
      <c r="AA13">
        <f t="shared" si="2"/>
        <v>0</v>
      </c>
      <c r="AB13">
        <f t="shared" si="2"/>
        <v>10.831571239029858</v>
      </c>
      <c r="AC13">
        <f t="shared" si="2"/>
        <v>10.831571239029858</v>
      </c>
      <c r="AD13">
        <f t="shared" si="2"/>
        <v>10.831571239029858</v>
      </c>
      <c r="AE13">
        <f t="shared" si="2"/>
        <v>10.831571239029858</v>
      </c>
      <c r="AF13">
        <f t="shared" si="2"/>
        <v>10.831571239029858</v>
      </c>
      <c r="AG13">
        <f t="shared" si="2"/>
        <v>10.831571239029858</v>
      </c>
      <c r="AH13">
        <f t="shared" si="2"/>
        <v>10.831571239029858</v>
      </c>
      <c r="AI13">
        <f t="shared" si="2"/>
        <v>10.831571239029858</v>
      </c>
      <c r="AJ13">
        <f t="shared" si="2"/>
        <v>10.831571239029858</v>
      </c>
      <c r="AK13">
        <f t="shared" si="2"/>
        <v>10.831571239029858</v>
      </c>
      <c r="AL13">
        <f t="shared" si="2"/>
        <v>10.831571239029858</v>
      </c>
      <c r="AM13">
        <f t="shared" si="2"/>
        <v>10.831571239029858</v>
      </c>
      <c r="AN13">
        <f t="shared" si="2"/>
        <v>10.831571239029858</v>
      </c>
      <c r="AO13">
        <f t="shared" si="2"/>
        <v>10.831571239029858</v>
      </c>
      <c r="AP13">
        <f t="shared" si="2"/>
        <v>11.52136228578707</v>
      </c>
      <c r="AQ13">
        <f t="shared" si="2"/>
        <v>11.52136228578707</v>
      </c>
      <c r="AR13">
        <f t="shared" si="2"/>
        <v>11.52136228578707</v>
      </c>
      <c r="AS13">
        <f t="shared" si="2"/>
        <v>11.52136228578707</v>
      </c>
      <c r="AT13">
        <f>IF(AT$10&lt;$U13,$S12-$T12*SQRT(ABS(AT$10-$V13)),IF(AT$10&gt;$V13,$S13-$T13*SQRT(ABS($W10-$V13)),$D13+$R13*($W10-$U13)-$Q13*($W10-$U13)^2-$P13*($W10-$U13)^3))</f>
        <v>11.52136228578707</v>
      </c>
    </row>
    <row r="14" spans="1:46" x14ac:dyDescent="0.25">
      <c r="B14" s="1">
        <v>181</v>
      </c>
      <c r="C14" s="1">
        <v>35</v>
      </c>
      <c r="D14" s="1">
        <v>15</v>
      </c>
      <c r="E14" s="14">
        <f t="shared" ref="E14" si="3">(C14+D14)/2</f>
        <v>25</v>
      </c>
      <c r="F14" s="4">
        <f>23.45*COS(2*3.1416/365*(B14-172))</f>
        <v>23.169130198855285</v>
      </c>
      <c r="G14" s="5">
        <f t="shared" ref="G14" si="4">F14*3.1416/180</f>
        <v>0.40437855240402093</v>
      </c>
      <c r="H14" s="5">
        <f>ACOS(-TAN($K$1*3.1416/180)*TAN(G14))</f>
        <v>1.9098158644857886</v>
      </c>
      <c r="I14" s="4">
        <f>H14*2*12/3.1416</f>
        <v>14.589884373459041</v>
      </c>
      <c r="J14">
        <f>C14-D14</f>
        <v>20</v>
      </c>
      <c r="K14">
        <f t="shared" ref="K14:K18" si="5">C14-D15</f>
        <v>20</v>
      </c>
      <c r="L14">
        <f>I14+2*SQRT(I14)*SQRT(24-I14)</f>
        <v>38.02426074084827</v>
      </c>
      <c r="M14">
        <f>I14^2+4*I14*SQRT(I14)*SQRT(24-I14)</f>
        <v>896.67440915956411</v>
      </c>
      <c r="N14">
        <f>I14^3+6*I14^2*SQRT(I14)*SQRT(24-I14)</f>
        <v>18070.728055427153</v>
      </c>
      <c r="O14">
        <f>I14/2+$M$1</f>
        <v>9.7949421867295214</v>
      </c>
      <c r="P14">
        <f>(J14/O14^2*(M14-2*L14)-K14)/(3*L14*O14^2+2*O14*(M14-4*L14)-N14)</f>
        <v>2.0251355215998412E-2</v>
      </c>
      <c r="Q14">
        <f>(J14-2*O14^3*P14)/O14^2</f>
        <v>-0.18826002311635304</v>
      </c>
      <c r="R14">
        <f>2*O14*Q14+3*O14^2*P14</f>
        <v>2.1408071927163856</v>
      </c>
      <c r="S14">
        <f>D14+R14*I14-Q14*I14^2-P14*I14^3</f>
        <v>23.413986060234528</v>
      </c>
      <c r="T14">
        <f t="shared" ref="T14:T18" si="6">(S14-D15)/SQRT(24-I14)</f>
        <v>2.7428642136256198</v>
      </c>
      <c r="U14">
        <f>12-I14/2</f>
        <v>4.7050578132704794</v>
      </c>
      <c r="V14">
        <f>12+I14/2</f>
        <v>19.294942186729521</v>
      </c>
      <c r="W14">
        <f>IF(W$10&lt;$U14,$S13-$T13*SQRT(24-$V14+W$10),IF(W$10&lt;$V14,$D14+$R14*(W$10-$U14)-$Q14*(W$10-$U14)^2-$P14*(W$10-$U14)^3,IF(W$10&lt;$V14,$S14-$T14*SQRT(24-$V14+W$10),$S14-$T14*SQRT(W$10-$V14))))</f>
        <v>17.1508593021323</v>
      </c>
      <c r="X14">
        <f t="shared" ref="X14:AT15" si="7">IF(X$10&lt;$U14,$S13-$T13*SQRT(24-$V14+X$10),IF(X$10&lt;$V14,$D14+$R14*(X$10-$U14)-$Q14*(X$10-$U14)^2-$P14*(X$10-$U14)^3,IF(X$10&lt;$V14,$S14-$T14*SQRT(24-$V14+X$10),$S14-$T14*SQRT(X$10-$V14))))</f>
        <v>16.576657036156892</v>
      </c>
      <c r="Y14">
        <f t="shared" si="7"/>
        <v>16.047142378845642</v>
      </c>
      <c r="Z14">
        <f t="shared" si="7"/>
        <v>15.553266567722419</v>
      </c>
      <c r="AA14">
        <f t="shared" si="7"/>
        <v>15.088676167409396</v>
      </c>
      <c r="AB14">
        <f t="shared" si="7"/>
        <v>16.810612413785879</v>
      </c>
      <c r="AC14">
        <f t="shared" si="7"/>
        <v>19.332051469661245</v>
      </c>
      <c r="AD14">
        <f t="shared" si="7"/>
        <v>22.011910500875462</v>
      </c>
      <c r="AE14">
        <f t="shared" si="7"/>
        <v>24.72868137613256</v>
      </c>
      <c r="AF14">
        <f t="shared" si="7"/>
        <v>27.36085596413654</v>
      </c>
      <c r="AG14">
        <f t="shared" si="7"/>
        <v>29.786926133591415</v>
      </c>
      <c r="AH14">
        <f t="shared" si="7"/>
        <v>31.885383753201182</v>
      </c>
      <c r="AI14">
        <f t="shared" si="7"/>
        <v>33.534720691669868</v>
      </c>
      <c r="AJ14">
        <f t="shared" si="7"/>
        <v>34.613428817701468</v>
      </c>
      <c r="AK14">
        <f t="shared" si="7"/>
        <v>35</v>
      </c>
      <c r="AL14">
        <f t="shared" si="7"/>
        <v>34.572926107269474</v>
      </c>
      <c r="AM14">
        <f t="shared" si="7"/>
        <v>33.210699008213886</v>
      </c>
      <c r="AN14">
        <f t="shared" si="7"/>
        <v>30.791810571537276</v>
      </c>
      <c r="AO14">
        <f t="shared" si="7"/>
        <v>27.194752665943618</v>
      </c>
      <c r="AP14">
        <f t="shared" si="7"/>
        <v>22.171926365145737</v>
      </c>
      <c r="AQ14">
        <f t="shared" si="7"/>
        <v>20.403003433158752</v>
      </c>
      <c r="AR14">
        <f t="shared" si="7"/>
        <v>19.340987106767901</v>
      </c>
      <c r="AS14">
        <f t="shared" si="7"/>
        <v>18.503525331409957</v>
      </c>
      <c r="AT14">
        <f t="shared" si="7"/>
        <v>17.789403527840108</v>
      </c>
    </row>
    <row r="15" spans="1:46" x14ac:dyDescent="0.25">
      <c r="B15" s="1">
        <v>182</v>
      </c>
      <c r="C15" s="1">
        <v>35</v>
      </c>
      <c r="D15" s="1">
        <v>15</v>
      </c>
      <c r="E15" s="14">
        <f t="shared" ref="E15" si="8">(C15+D15)/2</f>
        <v>25</v>
      </c>
      <c r="F15" s="4">
        <f>23.45*COS(2*3.1416/365*(B15-172))</f>
        <v>23.103409886483174</v>
      </c>
      <c r="G15" s="5">
        <f t="shared" ref="G15" si="9">F15*3.1416/180</f>
        <v>0.40323151388541967</v>
      </c>
      <c r="H15" s="5">
        <f>ACOS(-TAN($K$1*3.1416/180)*TAN(G15))</f>
        <v>1.9086983900353087</v>
      </c>
      <c r="I15" s="4">
        <f>H15*2*12/3.1416</f>
        <v>14.581347517458433</v>
      </c>
      <c r="J15">
        <f>C15-D15</f>
        <v>20</v>
      </c>
      <c r="K15">
        <f t="shared" si="5"/>
        <v>12.5</v>
      </c>
      <c r="L15">
        <f>I15+2*SQRT(I15)*SQRT(24-I15)</f>
        <v>38.019491214783201</v>
      </c>
      <c r="M15">
        <f>I15^2+4*I15*SQRT(I15)*SQRT(24-I15)</f>
        <v>896.13513225453221</v>
      </c>
      <c r="N15">
        <f>I15^3+6*I15^2*SQRT(I15)*SQRT(24-I15)</f>
        <v>18050.175007682141</v>
      </c>
      <c r="O15">
        <f>I15/2+$M$1</f>
        <v>9.7906737587292163</v>
      </c>
      <c r="P15">
        <f>(J15/O15^2*(M15-2*L15)-K15)/(3*L15*O15^2+2*O15*(M15-4*L15)-N15)</f>
        <v>2.1281618825623117E-2</v>
      </c>
      <c r="Q15">
        <f>(J15-2*O15^3*P15)/O15^2</f>
        <v>-0.20807928479756724</v>
      </c>
      <c r="R15">
        <f>2*O15*Q15+3*O15^2*P15</f>
        <v>2.0455223046867728</v>
      </c>
      <c r="S15">
        <f>D15+R15*I15-Q15*I15^2-P15*I15^3</f>
        <v>23.089621967385654</v>
      </c>
      <c r="T15">
        <f t="shared" si="6"/>
        <v>0.19212295993966258</v>
      </c>
      <c r="U15">
        <f>12-I15/2</f>
        <v>4.7093262412707837</v>
      </c>
      <c r="V15">
        <f>12+I15/2</f>
        <v>19.290673758729216</v>
      </c>
      <c r="W15">
        <f t="shared" ref="W15" si="10">IF(W$10&lt;$U15,$S14-$T14*SQRT(24-$V15+W$10),IF(W$10&lt;$V15,$D15+$R15*(W$10-$U15)-$Q15*(W$10-$U15)^2-$P15*(W$10-$U15)^3,IF(W$10&lt;$V15,$S15-$T15*SQRT(24-$V15+W$10),$S15-$T15*SQRT(W$10-$V15))))</f>
        <v>17.153686910836328</v>
      </c>
      <c r="X15">
        <f t="shared" si="7"/>
        <v>16.579174465585858</v>
      </c>
      <c r="Y15">
        <f t="shared" si="7"/>
        <v>16.049343935274756</v>
      </c>
      <c r="Z15">
        <f t="shared" si="7"/>
        <v>15.555152958359919</v>
      </c>
      <c r="AA15">
        <f t="shared" si="7"/>
        <v>15.090251212372772</v>
      </c>
      <c r="AB15">
        <f t="shared" si="7"/>
        <v>16.736905156510854</v>
      </c>
      <c r="AC15">
        <f t="shared" si="7"/>
        <v>19.2078767657366</v>
      </c>
      <c r="AD15">
        <f t="shared" si="7"/>
        <v>21.86635632631155</v>
      </c>
      <c r="AE15">
        <f t="shared" si="7"/>
        <v>24.584654125281975</v>
      </c>
      <c r="AF15">
        <f t="shared" si="7"/>
        <v>27.235080449694124</v>
      </c>
      <c r="AG15">
        <f t="shared" si="7"/>
        <v>29.689945586594273</v>
      </c>
      <c r="AH15">
        <f t="shared" si="7"/>
        <v>31.821559823028675</v>
      </c>
      <c r="AI15">
        <f t="shared" si="7"/>
        <v>33.502233446043583</v>
      </c>
      <c r="AJ15">
        <f t="shared" si="7"/>
        <v>34.604276742685272</v>
      </c>
      <c r="AK15">
        <f t="shared" si="7"/>
        <v>35</v>
      </c>
      <c r="AL15">
        <f t="shared" si="7"/>
        <v>34.561713505034028</v>
      </c>
      <c r="AM15">
        <f t="shared" si="7"/>
        <v>33.161727544833617</v>
      </c>
      <c r="AN15">
        <f t="shared" si="7"/>
        <v>30.672352406445022</v>
      </c>
      <c r="AO15">
        <f t="shared" si="7"/>
        <v>26.96589837691451</v>
      </c>
      <c r="AP15">
        <f t="shared" si="7"/>
        <v>23.001721515737401</v>
      </c>
      <c r="AQ15">
        <f t="shared" si="7"/>
        <v>22.878345558063778</v>
      </c>
      <c r="AR15">
        <f t="shared" si="7"/>
        <v>22.804054194568199</v>
      </c>
      <c r="AS15">
        <f t="shared" si="7"/>
        <v>22.745441513832727</v>
      </c>
      <c r="AT15">
        <f t="shared" si="7"/>
        <v>22.695450156694079</v>
      </c>
    </row>
    <row r="16" spans="1:46" x14ac:dyDescent="0.25">
      <c r="B16" s="1">
        <v>180</v>
      </c>
      <c r="C16" s="1">
        <v>27.5</v>
      </c>
      <c r="D16" s="1">
        <v>22.5</v>
      </c>
      <c r="E16" s="14">
        <f t="shared" si="0"/>
        <v>25</v>
      </c>
      <c r="F16" s="4">
        <f>23.45*COS(2*3.1416/365*(B16-172))</f>
        <v>23.227984965810336</v>
      </c>
      <c r="G16" s="5">
        <f t="shared" si="1"/>
        <v>0.40540576426994301</v>
      </c>
      <c r="H16" s="5">
        <f>ACOS(-TAN($K$1*3.1416/180)*TAN(G16))</f>
        <v>1.9108179065913065</v>
      </c>
      <c r="I16" s="4">
        <f>H16*2*12/3.1416</f>
        <v>14.597539393363686</v>
      </c>
      <c r="J16">
        <f t="shared" ref="J16:J18" si="11">C16-D16</f>
        <v>5</v>
      </c>
      <c r="K16">
        <f t="shared" si="5"/>
        <v>27.5</v>
      </c>
      <c r="L16">
        <f t="shared" ref="L16:L18" si="12">I16+2*SQRT(I16)*SQRT(24-I16)</f>
        <v>38.028526491642225</v>
      </c>
      <c r="M16">
        <f t="shared" ref="M16:M18" si="13">I16^2+4*I16*SQRT(I16)*SQRT(24-I16)</f>
        <v>897.15767072583901</v>
      </c>
      <c r="N16">
        <f t="shared" ref="N16:N18" si="14">I16^3+6*I16^2*SQRT(I16)*SQRT(24-I16)</f>
        <v>18089.160282496196</v>
      </c>
      <c r="O16">
        <f t="shared" ref="O16:O18" si="15">I16/2+$M$1</f>
        <v>9.7987696966818429</v>
      </c>
      <c r="P16">
        <f t="shared" ref="P16:P18" si="16">(J16/O16^2*(M16-2*L16)-K16)/(3*L16*O16^2+2*O16*(M16-4*L16)-N16)</f>
        <v>2.043772930937807E-3</v>
      </c>
      <c r="Q16">
        <f t="shared" ref="Q16:Q18" si="17">(J16-2*O16^3*P16)/O16^2</f>
        <v>1.2021794676828497E-2</v>
      </c>
      <c r="R16">
        <f t="shared" ref="R16:R18" si="18">2*O16*Q16+3*O16^2*P16</f>
        <v>0.8243016106161577</v>
      </c>
      <c r="S16">
        <f t="shared" ref="S16:S18" si="19">D16+R16*I16-Q16*I16^2-P16*I16^3</f>
        <v>25.613789207785594</v>
      </c>
      <c r="T16">
        <f t="shared" si="6"/>
        <v>8.3532036551686932</v>
      </c>
      <c r="U16">
        <f t="shared" ref="U16:U18" si="20">12-I16/2</f>
        <v>4.7012303033181571</v>
      </c>
      <c r="V16">
        <f t="shared" ref="V16:V18" si="21">12+I16/2</f>
        <v>19.298769696681845</v>
      </c>
    </row>
    <row r="17" spans="2:22" ht="15" customHeight="1" x14ac:dyDescent="0.25">
      <c r="B17" s="1">
        <v>30</v>
      </c>
      <c r="C17" s="1">
        <v>16</v>
      </c>
      <c r="D17" s="1">
        <v>0</v>
      </c>
      <c r="E17" s="14">
        <f t="shared" si="0"/>
        <v>8</v>
      </c>
      <c r="F17" s="4">
        <f>23.45*COS(2*3.1416/365*(B17-172))</f>
        <v>-17.978235375107761</v>
      </c>
      <c r="G17" s="5">
        <f t="shared" si="1"/>
        <v>-0.31378013474688082</v>
      </c>
      <c r="H17" s="5">
        <f>ACOS(-TAN($K$1*3.1416/180)*TAN(G17))</f>
        <v>1.3158813488142538</v>
      </c>
      <c r="I17" s="4">
        <f>H17*2*12/3.1416</f>
        <v>10.052569509658165</v>
      </c>
      <c r="J17">
        <f t="shared" si="11"/>
        <v>16</v>
      </c>
      <c r="K17">
        <f t="shared" si="5"/>
        <v>10</v>
      </c>
      <c r="L17">
        <f t="shared" si="12"/>
        <v>33.734420322910658</v>
      </c>
      <c r="M17">
        <f t="shared" si="13"/>
        <v>577.18105658165985</v>
      </c>
      <c r="N17">
        <f t="shared" si="14"/>
        <v>8195.3020840293848</v>
      </c>
      <c r="O17">
        <f t="shared" si="15"/>
        <v>7.5262847548290823</v>
      </c>
      <c r="P17">
        <f t="shared" si="16"/>
        <v>3.1942260403834674E-2</v>
      </c>
      <c r="Q17">
        <f t="shared" si="17"/>
        <v>-0.19835196563977311</v>
      </c>
      <c r="R17">
        <f t="shared" si="18"/>
        <v>2.4423976503356126</v>
      </c>
      <c r="S17">
        <f t="shared" si="19"/>
        <v>12.147992223286323</v>
      </c>
      <c r="T17">
        <f t="shared" si="6"/>
        <v>1.646213681083609</v>
      </c>
      <c r="U17">
        <f t="shared" si="20"/>
        <v>6.9737152451709177</v>
      </c>
      <c r="V17">
        <f t="shared" si="21"/>
        <v>17.026284754829081</v>
      </c>
    </row>
    <row r="18" spans="2:22" x14ac:dyDescent="0.25">
      <c r="B18" s="1">
        <v>30</v>
      </c>
      <c r="C18" s="1">
        <v>10</v>
      </c>
      <c r="D18" s="1">
        <v>6</v>
      </c>
      <c r="E18" s="14">
        <f t="shared" si="0"/>
        <v>8</v>
      </c>
      <c r="F18" s="4">
        <f>23.45*COS(2*3.1416/365*(B18-172))</f>
        <v>-17.978235375107761</v>
      </c>
      <c r="G18" s="5">
        <f t="shared" si="1"/>
        <v>-0.31378013474688082</v>
      </c>
      <c r="H18" s="5">
        <f>ACOS(-TAN($K$1*3.1416/180)*TAN(G18))</f>
        <v>1.3158813488142538</v>
      </c>
      <c r="I18" s="4">
        <f>H18*2*12/3.1416</f>
        <v>10.052569509658165</v>
      </c>
      <c r="J18">
        <f t="shared" si="11"/>
        <v>4</v>
      </c>
      <c r="K18">
        <f t="shared" si="5"/>
        <v>10</v>
      </c>
      <c r="L18">
        <f t="shared" si="12"/>
        <v>33.734420322910658</v>
      </c>
      <c r="M18">
        <f t="shared" si="13"/>
        <v>577.18105658165985</v>
      </c>
      <c r="N18">
        <f t="shared" si="14"/>
        <v>8195.3020840293848</v>
      </c>
      <c r="O18">
        <f t="shared" si="15"/>
        <v>7.5262847548290823</v>
      </c>
      <c r="P18">
        <f t="shared" si="16"/>
        <v>6.197403569683152E-3</v>
      </c>
      <c r="Q18">
        <f t="shared" si="17"/>
        <v>-2.2671565665921788E-2</v>
      </c>
      <c r="R18">
        <f t="shared" si="18"/>
        <v>0.71188975494976203</v>
      </c>
      <c r="S18">
        <f t="shared" si="19"/>
        <v>9.1517205115859053</v>
      </c>
      <c r="T18">
        <f t="shared" si="6"/>
        <v>2.450505297414487</v>
      </c>
      <c r="U18">
        <f t="shared" si="20"/>
        <v>6.9737152451709177</v>
      </c>
      <c r="V18">
        <f t="shared" si="21"/>
        <v>17.026284754829081</v>
      </c>
    </row>
    <row r="27" spans="2:22" ht="15.75" customHeight="1" x14ac:dyDescent="0.25"/>
    <row r="28" spans="2:22" ht="15.75" customHeight="1" x14ac:dyDescent="0.25"/>
    <row r="29" spans="2:22" ht="15.75" customHeight="1" x14ac:dyDescent="0.25"/>
    <row r="30" spans="2:22" ht="15.75" customHeight="1" x14ac:dyDescent="0.25"/>
    <row r="31" spans="2:22" ht="15.75" customHeight="1" x14ac:dyDescent="0.25"/>
    <row r="32" spans="2:2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</sheetData>
  <pageMargins left="0.7" right="0.7" top="0.75" bottom="0.75" header="0" footer="0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2578125" defaultRowHeight="15" customHeight="1" x14ac:dyDescent="0.25"/>
  <cols>
    <col min="1" max="26" width="10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2578125" defaultRowHeight="15" customHeight="1" x14ac:dyDescent="0.25"/>
  <cols>
    <col min="1" max="26" width="10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versions xmlns="http://schemas.microsoft.com/SolverFoundationForExcel/Version">
  <addinversion>3.1</addinversion>
</versions>
</file>

<file path=customXml/item2.xml>��< ? x m l   v e r s i o n = " 1 . 0 "   e n c o d i n g = " u t f - 1 6 " ? > < M o d e l   x m l n s = " h t t p : / / s c h e m a s . m i c r o s o f t . c o m / S o l v e r F o u n d a t i o n / "   x m l n s : x s d = " h t t p : / / w w w . w 3 . o r g / 2 0 0 1 / X M L S c h e m a "   x m l n s : x s i = " h t t p : / / w w w . w 3 . o r g / 2 0 0 1 / X M L S c h e m a - i n s t a n c e " >  
     < M o d e l T e x t > / /   M o d e l :   T h i s   i s   t h e   m a i n   m o d e l i n g   a r e a  
 M o d e l [  
  
     / /   P a r a m e t e r s :   T h i s   i s   w h e r e   y o u   d e f i n e   t h e   d a t a   t h a t   p l u g s   i n t o   t h e    
     / /   m o d e l .   P a r a m e t e r s   c a n   b e   d e c l a r e d   a s   S e t s   t h a t   a r e   l a t e r   u s e d   a s    
     / /   i n d i c e s   ( i n   o t h e r   P a r a m e t e r s   o r   D e c i s i o n s ) ,   o r   a s   s i n g l e d - v a l u e d    
     / /   c o n s t a n t s   o f   t y p e   R e a l s ,   I n t e g e r s ,   o r   B o o l e a n s .   W h e n   P a r a m e t e r s    
     / /   a r e   d e c l a r e d   a s   S e t s ,   t h e   e l e m e n t s   o f   t h e   s e t s   w i l l   c o m e   f r o m   t h e    
     / /   s p r e a d s h e e t   v i a   t h e   d a t a   b i n d i n g   f u n c t i o n a l i t y .   W h e n   P a r a m e t e r s    
     / /   a r e   d e c l a r e d   a s   c o n s t a n t s ,   t h e i r   v a l u e s   c a n   b e   i n i t i a l i z e d   e i t h e r   i n    
     / /   p l a c e   u s i n g   =   o r   f r o m   d a t a   b i n d i n g   f u n c t i o n a l i t y .  
     P a r a m e t e r s [  
  
     ] ,  
  
     / /   D e c i s i o n s :   T h e s e   a r e   t h e    o u t p u t s    o f   t h e   s o l v e r .   T h e y   a r e   t h e    
     / /   r e s u l t s   o f   t h e   m o d e l   b e i n g   s o l v e d .   S u p p o r t e d   t y p e s   f o r   D e c i s i o n s    
     / /   c a n   b e   R e a l s ,   I n t e g e r s ,   o r   B o o l e a n s .   D e c i s i o n s   a r e   m a n d a t o r y .  
     D e c i s i o n s [  
  
     ] ,  
  
     / /   C o n s t r a i n t s :   T h i s   i s   w h e r e   y o u   c a n   a d d   b u s i n e s s   c o n s t r a i n t s   t o    
     / /   t h e   m o d e l .   T h e s e   a r e   r e s t r i c t i o n s   p l a c e d   o n   D e c i s i o n s .  
     C o n s t r a i n t s [  
  
     ] ,  
    
     / /   G o a l s :   T h i s   i s   w h e r e   y o u   d e f i n e   t h e   b u s i n e s s   g o a l   o r   g o a l s   y o u  
     / /   a r e   t r y i n g   t o   a c c o m p l i s h .   T h e s e   a r e   u s e d   t o   s p e c i f y   a   q u a n t i t y   t h a t    
     / /   s h o u l d   b e   m a x i m i z e d   o r   m i n i m i z e d   ( M i n i m i z e [ ]   o r   M a x i m i z e   [ ] )  
     G o a l s [  
  
     ]  
  
 ] < / M o d e l T e x t >  
     < D a t a B i n d i n g s >  
         < B i n d i n g S o u r c e I n f o >  
             < N a m e > E x c e l A d d I n < / N a m e >  
             < C o n n e c t i o n / >  
             < P a r a m e t e r B i n d i n g s / >  
             < D e c i s i o n B i n d i n g s / >  
         < / B i n d i n g S o u r c e I n f o >  
     < / D a t a B i n d i n g s >  
     < D i r e c t i v e s / >  
     < O p t i o n s >  
         < P r o p e r t y I n f o >  
             < N a m e > A l l o w M o d e l T e x t E d i t i n g < / N a m e >  
             < V a l u e   x s i : t y p e = " x s d : b o o l e a n " > f a l s e < / V a l u e >  
         < / P r o p e r t y I n f o >  
         < P r o p e r t y I n f o >  
             < N a m e > E d i t o r V i s i b l e < / N a m e >  
             < V a l u e   x s i : t y p e = " x s d : b o o l e a n " > f a l s e < / V a l u e >  
         < / P r o p e r t y I n f o >  
         < P r o p e r t y I n f o >  
             < N a m e > C l e a r L o g O n S o l v i n g < / N a m e >  
             < V a l u e   x s i : t y p e = " x s d : b o o l e a n " > f a l s e < / V a l u e >  
         < / P r o p e r t y I n f o >  
         < P r o p e r t y I n f o >  
             < N a m e > S a m p l i n g C o u n t < / N a m e >  
             < V a l u e   x s i : t y p e = " x s d : i n t " > 0 < / V a l u e >  
         < / P r o p e r t y I n f o >  
         < P r o p e r t y I n f o >  
             < N a m e > R a n d o m S e e d < / N a m e >  
             < V a l u e   x s i : t y p e = " x s d : i n t " > 0 < / V a l u e >  
         < / P r o p e r t y I n f o >  
         < P r o p e r t y I n f o >  
             < N a m e > S a m p l i n g M e t h o d < / N a m e >  
             < V a l u e   x s i : t y p e = " x s d : i n t " > 0 < / V a l u e >  
         < / P r o p e r t y I n f o >  
         < P r o p e r t y I n f o >  
             < N a m e > R e p o r t O p t i o n s < / N a m e >  
             < V a l u e   x s i : t y p e = " x s d : i n t " > 5 < / V a l u e >  
         < / P r o p e r t y I n f o >  
     < / O p t i o n s >  
 < / M o d e l > 
</file>

<file path=customXml/itemProps1.xml><?xml version="1.0" encoding="utf-8"?>
<ds:datastoreItem xmlns:ds="http://schemas.openxmlformats.org/officeDocument/2006/customXml" ds:itemID="{6F32547F-E280-41EF-8B7B-E787988C085A}">
  <ds:schemaRefs>
    <ds:schemaRef ds:uri="http://schemas.microsoft.com/SolverFoundationForExcel/Version"/>
  </ds:schemaRefs>
</ds:datastoreItem>
</file>

<file path=customXml/itemProps2.xml><?xml version="1.0" encoding="utf-8"?>
<ds:datastoreItem xmlns:ds="http://schemas.openxmlformats.org/officeDocument/2006/customXml" ds:itemID="{9A8AE0D1-774A-4E95-8732-C796DB22F57F}">
  <ds:schemaRefs>
    <ds:schemaRef ds:uri="http://schemas.microsoft.com/SolverFoundation/"/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FVILLA5</dc:creator>
  <cp:lastModifiedBy>FV_Remote</cp:lastModifiedBy>
  <dcterms:created xsi:type="dcterms:W3CDTF">2019-05-02T15:25:19Z</dcterms:created>
  <dcterms:modified xsi:type="dcterms:W3CDTF">2020-10-11T08:56:32Z</dcterms:modified>
</cp:coreProperties>
</file>